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https://uoa-my.sharepoint.com/personal/sgla603_uoa_auckland_ac_nz/Documents/6M Sustainability Consultants/"/>
    </mc:Choice>
  </mc:AlternateContent>
  <xr:revisionPtr revIDLastSave="518" documentId="13_ncr:1_{913BECCB-DEF0-45FA-B940-CDE2753133E9}" xr6:coauthVersionLast="47" xr6:coauthVersionMax="47" xr10:uidLastSave="{D2FD6E74-2459-471A-BA22-03DC57180E96}"/>
  <bookViews>
    <workbookView xWindow="-98" yWindow="-98" windowWidth="21795" windowHeight="12975" xr2:uid="{11F9498D-3C9C-4214-BDDE-EE7377AAB3DE}"/>
  </bookViews>
  <sheets>
    <sheet name=" Rescued Flour Raw 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1" l="1"/>
  <c r="F43" i="1"/>
  <c r="F33" i="1"/>
  <c r="F32" i="1"/>
  <c r="F30" i="1"/>
  <c r="F31" i="1"/>
  <c r="F34" i="1"/>
  <c r="F80" i="1"/>
  <c r="F88" i="1" s="1"/>
  <c r="F76" i="1"/>
  <c r="F71" i="1"/>
  <c r="H5" i="1"/>
  <c r="F53" i="1"/>
  <c r="H4" i="1" l="1"/>
  <c r="H3" i="1" s="1"/>
  <c r="H11" i="1" s="1"/>
  <c r="H33" i="1"/>
  <c r="H34" i="1"/>
  <c r="H12" i="1"/>
  <c r="H42" i="1" s="1"/>
  <c r="H45" i="1" s="1"/>
  <c r="H31" i="1"/>
  <c r="H32" i="1"/>
  <c r="H30" i="1"/>
  <c r="H43" i="1"/>
  <c r="F29" i="1"/>
  <c r="F85" i="1"/>
  <c r="F37" i="1" l="1"/>
  <c r="F41" i="1" s="1"/>
  <c r="F48" i="1" s="1"/>
  <c r="H29" i="1"/>
  <c r="H37" i="1" s="1"/>
  <c r="H41" i="1"/>
</calcChain>
</file>

<file path=xl/sharedStrings.xml><?xml version="1.0" encoding="utf-8"?>
<sst xmlns="http://schemas.openxmlformats.org/spreadsheetml/2006/main" count="439" uniqueCount="188">
  <si>
    <t>Rescued Bread Loaf Mass</t>
  </si>
  <si>
    <t>Mass</t>
  </si>
  <si>
    <t>Unit</t>
  </si>
  <si>
    <t>Process</t>
  </si>
  <si>
    <t>tonne</t>
  </si>
  <si>
    <t>Dehydration Yield 72.5% (116 kg/hr for dehydration and 44 kg/kh for water)</t>
  </si>
  <si>
    <t>Sieving 15% Bread Crumb</t>
  </si>
  <si>
    <t>2.5% rejected metal detector</t>
  </si>
  <si>
    <t>Nett Functional Unit 1t</t>
  </si>
  <si>
    <t>Production Data</t>
  </si>
  <si>
    <t>Value</t>
  </si>
  <si>
    <t>Parameter</t>
  </si>
  <si>
    <t>kg/h</t>
  </si>
  <si>
    <t>Throughput</t>
  </si>
  <si>
    <t>kg</t>
  </si>
  <si>
    <t>Raw Material for Functional Unit</t>
  </si>
  <si>
    <t>h</t>
  </si>
  <si>
    <t>Production time</t>
  </si>
  <si>
    <t>NZ Electricity Mix 2024</t>
  </si>
  <si>
    <t>Source</t>
  </si>
  <si>
    <t>Amount</t>
  </si>
  <si>
    <t>Reference</t>
  </si>
  <si>
    <t>Link</t>
  </si>
  <si>
    <t>Hydro</t>
  </si>
  <si>
    <t>kwh</t>
  </si>
  <si>
    <t xml:space="preserve">Energy in NZ 2025 </t>
  </si>
  <si>
    <t>https://www.mbie.govt.nz/building-and-energy/energy-and-natural-resources/energy-statistics-and-modelling/energy-publications-and-technical-papers/energy-in-new-zealand/energy-in-new-zealand-2025/electricity</t>
  </si>
  <si>
    <t>Geothermal</t>
  </si>
  <si>
    <t>https://www.mbie.govt.nz/building-and-energy/energy-and-natural-resources/energy-statistics-and-modelling/energy-publications-and-technical-papers/energy-in-new-zealand/energy-in-new-zealand-2025/electricit</t>
  </si>
  <si>
    <t>Gas</t>
  </si>
  <si>
    <t>Wind</t>
  </si>
  <si>
    <t>Energy in NZ 2025</t>
  </si>
  <si>
    <t>Coal</t>
  </si>
  <si>
    <t>Other - Biogas</t>
  </si>
  <si>
    <t>Solar</t>
  </si>
  <si>
    <t>transmission network, electricity, high voltage | Cutoff, U - GLO</t>
  </si>
  <si>
    <t>km</t>
  </si>
  <si>
    <t xml:space="preserve">market for transmission network, long-distance | transmission network, long-distance | Cutoff, U - GLO			</t>
  </si>
  <si>
    <t xml:space="preserve">transmission network, long-distance | Cutoff, U - GLO			</t>
  </si>
  <si>
    <t xml:space="preserve">market for transmission network, long-distance | transmission network, long-distance | Cutoff, U - GLO	</t>
  </si>
  <si>
    <t>Processes</t>
  </si>
  <si>
    <t>No</t>
  </si>
  <si>
    <t>Process / Flow Name</t>
  </si>
  <si>
    <t>%</t>
  </si>
  <si>
    <t>In/Output</t>
  </si>
  <si>
    <t>Flow</t>
  </si>
  <si>
    <t>Weight (Raw)</t>
  </si>
  <si>
    <t>Unit (Raw)</t>
  </si>
  <si>
    <t>Weight (FU)</t>
  </si>
  <si>
    <t>Unit (FU)</t>
  </si>
  <si>
    <t>Dataset</t>
  </si>
  <si>
    <t>Description</t>
  </si>
  <si>
    <t>Period</t>
  </si>
  <si>
    <t>Remark</t>
  </si>
  <si>
    <t>Time Period</t>
  </si>
  <si>
    <t>DOI</t>
  </si>
  <si>
    <t>Materialising Surplus Bagged Bread</t>
  </si>
  <si>
    <t xml:space="preserve">		</t>
  </si>
  <si>
    <t>Bagged Surplus Bread</t>
  </si>
  <si>
    <t>Output</t>
  </si>
  <si>
    <t>Product</t>
  </si>
  <si>
    <t>1 kg White Bread</t>
  </si>
  <si>
    <t>Wheat Flour</t>
  </si>
  <si>
    <t>Input</t>
  </si>
  <si>
    <t xml:space="preserve">market for wheat flour | wheat flour | Cutoff, U - RoW	</t>
  </si>
  <si>
    <t>The product 'wheat flour' is from dry-milled wheat. Wheat is an annual crop.</t>
  </si>
  <si>
    <t>2016-2024</t>
  </si>
  <si>
    <t>LCA of production of Industrial versus Home made bread in Sweden</t>
  </si>
  <si>
    <t>https://www.eco-conception.fr/data/sources/users/306/docs/acv-pain-de-suede.pdf</t>
  </si>
  <si>
    <t>Water</t>
  </si>
  <si>
    <t>market for tap water | tap water | Cutoff, U - RoW</t>
  </si>
  <si>
    <t>This item is delivering the product of "tap water". It is generally the water that comes out of the tap, containing minerals, salts and other elements, while it is characterized as potable. It can be produced from many different methods like direct filtration treatment, ultrafiltration treatment, microstrainer treatment, microstrainer treatment, etc. It can be used in various household applications, and for a wide variety of industrial applications like fabricating, processing, washing, diluting, cooling, etc.</t>
  </si>
  <si>
    <t>2012-2024</t>
  </si>
  <si>
    <t>Yeast</t>
  </si>
  <si>
    <t xml:space="preserve">market for fodder yeast | fodder yeast | Cutoff, U - GLO			</t>
  </si>
  <si>
    <t>The product 'fodder yeast' is a by-product of ethanol production from whey. It is also used as protein feed for animals.</t>
  </si>
  <si>
    <t>Salt</t>
  </si>
  <si>
    <t xml:space="preserve">market for salt | salt | Cutoff, U - GLO			</t>
  </si>
  <si>
    <t>Salt is a chemical compound that contains a considerable amount of sodium chloride (CAS No: 7647-14-5). Salt is present in seawater in a concentration of circa 35 kg per m3 of seawater. Salt is produced through evaporation of seawater but is also present in nature in mineral form where it can be mechanically extracted/mined. Salt finds numerous and various application in many sectors such as industrial, chemical, food, agriculture and others. It can be also used to further produce table salt and other products</t>
  </si>
  <si>
    <t>2019-2024</t>
  </si>
  <si>
    <t>PET</t>
  </si>
  <si>
    <t xml:space="preserve">polyethylene terephthalate, granulate, amorphous, recycled to generic market for amorphous PET granulate | Cutoff, U - Row NZ	</t>
  </si>
  <si>
    <t>polyethylene, high density, granulate', is a plastic product of fossil origin, it is not biodegradable and it is a thermoplastic material. This product consists of 100% virgin material with no content of recycled material. The product is used in the following applications and sectors: packaging material including crates, trays, bottles, food packaging, jerry cans, drums, industrial bulk containers etc, food containers, toys, petrol tanks, industrial wrapping and film, fibres and textiles like in ropes, fishing and sport nets, nets for agricultural use, industrial and decorative fabrics, pipes, wiring and cables.</t>
  </si>
  <si>
    <t>2010-2024</t>
  </si>
  <si>
    <t>From 0.681 kg of bread loaf converted to 1kg</t>
  </si>
  <si>
    <t>Environmental Life Cycle Assessment (LCA) Case Studies for Western Australian Grain Products</t>
  </si>
  <si>
    <t>https://www.academia.edu/7742417/Environmental_Life_Cycle_Assessment_LCA_Case_Studies_for_Australian_grain_products</t>
  </si>
  <si>
    <t>Transporting Bagged Surplus Bread to KiwiHarvest</t>
  </si>
  <si>
    <t xml:space="preserve">	</t>
  </si>
  <si>
    <t>Bagged Surplus Bread , Transported to Kiwi Harvest</t>
  </si>
  <si>
    <t>item</t>
  </si>
  <si>
    <t>`</t>
  </si>
  <si>
    <t xml:space="preserve">3.5-7.5 metric ton, EURO6 | transport, freight, lorry 3.5-7.5 metric ton, EURO6 | Cutoff, U - RoW			</t>
  </si>
  <si>
    <t xml:space="preserve">1.001292217*20 </t>
  </si>
  <si>
    <t>kg*km</t>
  </si>
  <si>
    <t>1858.762673*20</t>
  </si>
  <si>
    <t xml:space="preserve">market for transport, freight, lorry 3.5-7.5 metric ton, EURO6 | Cutoff, U - RoW		</t>
  </si>
  <si>
    <t>This is delivering the service of transportation of 1 metric ton across the distance of 1 km. This service only considers the transportation of goods. The vehicle operates with diesel, its emission standard is classified as EURO6 and it falls under the lorry size class of 3.5-7.5 metric tons. The average freight load factor of a 3.5-7.5 metric ton lorry is 0.98 tonnes, with a gross vehicle weight (GVW) of 4.98 tonnes. It has a lifetime capacity of 540,000 km. Data for transport is calculated for an average load factor, including empty return trips.</t>
  </si>
  <si>
    <t>2009-2024</t>
  </si>
  <si>
    <t>20km; Average Distance of Woolworths to KiwiHarvest</t>
  </si>
  <si>
    <t>Googlemaps</t>
  </si>
  <si>
    <t>Freezing Bagged Bread at KiwiHarvest</t>
  </si>
  <si>
    <t>Bagged Surplus Bread, Frozen at KiwiHarvest</t>
  </si>
  <si>
    <t>NZ Electricity Mixes 2024</t>
  </si>
  <si>
    <t>kWh</t>
  </si>
  <si>
    <t xml:space="preserve">market for NZ Electricity Mix 2024		</t>
  </si>
  <si>
    <t>2020-2024</t>
  </si>
  <si>
    <t>7.8kw x Production Time</t>
  </si>
  <si>
    <t>Comparative life cycle assessment of refrigeration systems for food cooling:eco-design actions towards machines with natural refrigerants</t>
  </si>
  <si>
    <t>https://doi.org/10.1080/19397038.2021.1970274© 2021 Informa UK Limited, trading as Taylor &amp; Francis Group</t>
  </si>
  <si>
    <t>https://www.tandfonline.com/doi/epdf/10.1080/19397038.2021.1970274?needAccess=true</t>
  </si>
  <si>
    <t xml:space="preserve">market for tap water | tap water | Cutoff, U - RoW			</t>
  </si>
  <si>
    <t>9% of Mass Expand during Freezing</t>
  </si>
  <si>
    <t>The physics of liquid water</t>
  </si>
  <si>
    <t>https://comptes-rendus.academie-sciences.fr/geoscience/item/10.1016/j.crte.2004.09.018.pdf</t>
  </si>
  <si>
    <t>Refrigerant</t>
  </si>
  <si>
    <t>??</t>
  </si>
  <si>
    <t xml:space="preserve">Carbon dioxide					</t>
  </si>
  <si>
    <t>Elementary</t>
  </si>
  <si>
    <t xml:space="preserve">Carbon dioxide Elementary flows/Emission to air/unspecified				</t>
  </si>
  <si>
    <t>1.2 x 10E-01 [kg/kWh] France MH Product, R134a refrigerant fluid</t>
  </si>
  <si>
    <t>Comparative life cycle assessment of refrigeration
systems for food cooling: eco-design actions
towards machines with natural refrigerants</t>
  </si>
  <si>
    <t>https://doi.org/10.1080/19397038.2021.1970274</t>
  </si>
  <si>
    <t>https://www.tandfonline.com/doi/full/10.1080/19397038.2021.1970274</t>
  </si>
  <si>
    <t>Transporting Bagged Surplus Bread to Rescued</t>
  </si>
  <si>
    <t xml:space="preserve">Bagged Surplus Bread, Transported to Rescued	_Rescued Bread Flour				</t>
  </si>
  <si>
    <t xml:space="preserve">Bagged Surplus Bread, Frozen at KiwiHarvest						</t>
  </si>
  <si>
    <t xml:space="preserve">0.00109*15 </t>
  </si>
  <si>
    <t>t*km</t>
  </si>
  <si>
    <t>market for transport, freight, lorry 3.5-7.5 metric ton, EURO6 | transport, freight, lorry 3.5-7.5 metric ton, EURO6 | Cutoff, U - RoW</t>
  </si>
  <si>
    <t>15km: Distance from KiwiHarvest to FoodBowl Mangere</t>
  </si>
  <si>
    <t>Storing Frozen Bread at Rescued Shelf</t>
  </si>
  <si>
    <t xml:space="preserve">Bagged Surplus Bread, Shelfed	_Rescued Bread Flour						</t>
  </si>
  <si>
    <t xml:space="preserve">Bagged Surplus Bread, Transported to Rescued				</t>
  </si>
  <si>
    <t>Waste Water</t>
  </si>
  <si>
    <t xml:space="preserve">Elementary flows/Emission to water/unspecified				</t>
  </si>
  <si>
    <t>9% of Mass Decrease during Melting, opposite of freezing</t>
  </si>
  <si>
    <t>Bread debagging</t>
  </si>
  <si>
    <t>Debagged Surplus Bread</t>
  </si>
  <si>
    <t>Bagged Surplus Bread, Shelfed</t>
  </si>
  <si>
    <t>3.3 kWh for Debagging Machinel ;Load 60% Efficiency 90%</t>
  </si>
  <si>
    <t>as per Rescued NZ Process Map</t>
  </si>
  <si>
    <t>0.38 kWh for Conveyance Machine; Load 40% Efficiency 80%</t>
  </si>
  <si>
    <t xml:space="preserve">waste polyethylene terephthalate		</t>
  </si>
  <si>
    <t>Waste</t>
  </si>
  <si>
    <t xml:space="preserve">market for waste polyethylene terephthalate | waste polyethylene terephthalate | Cutoff, U - RoW			</t>
  </si>
  <si>
    <t>Milling bread</t>
  </si>
  <si>
    <t>Milled Bread Particles</t>
  </si>
  <si>
    <t>3.9 kWh for Milling Machine; Load 70% Efficiency 90%</t>
  </si>
  <si>
    <t>Spiral Flash Drying</t>
  </si>
  <si>
    <t xml:space="preserve">Dried Bread Particle					</t>
  </si>
  <si>
    <t>6.5 kWh for Spiral Flash Drying</t>
  </si>
  <si>
    <t>0.38 kWh for Conveyance Machine; Load 40% and Efficiency 80%</t>
  </si>
  <si>
    <t xml:space="preserve">liquefied petroleum gas		</t>
  </si>
  <si>
    <t xml:space="preserve">market for liquefied petroleum gas | liquefied petroleum gas | Cutoff, U - RoW			</t>
  </si>
  <si>
    <t>liquefied petroleum gas' is a fossil fuel with a calorific value of 45.5 MJ/kg. It is used as a liquid fuel and is sourced from petroleum refineries. Its main applications are in the following sectors: domestic cooking and heating and automotive fuel.</t>
  </si>
  <si>
    <t>LPG Heating Energy 120 kW. 1kg LPG produce 50.4MJ; so need 8.5 kg/h</t>
  </si>
  <si>
    <t xml:space="preserve">tonne </t>
  </si>
  <si>
    <t>Water Vapour</t>
  </si>
  <si>
    <t>as per rescued NZ Interview on Mass Yield</t>
  </si>
  <si>
    <t>Carbon dioxide, Fossil</t>
  </si>
  <si>
    <t>Elementary flows/Emission to air/unspecified</t>
  </si>
  <si>
    <t>Per 1 kg LPG; Uncertainty 2.4%</t>
  </si>
  <si>
    <t>Measuring emissions:A guide for organisations</t>
  </si>
  <si>
    <t>https://environment.govt.nz/assets/publications/Measuring-Emissions-2024/Measuring-emissions_Detailed-guide_2024_ME1829.pdf</t>
  </si>
  <si>
    <t>Carbon monoxide, Fossil</t>
  </si>
  <si>
    <t>Dinitrogen monoxide, Fossil</t>
  </si>
  <si>
    <t>Sieving</t>
  </si>
  <si>
    <t>Dried Bread Particles, Sieved</t>
  </si>
  <si>
    <t>0.88 kW for Sieving; Load 75% and Efficiency 85%</t>
  </si>
  <si>
    <t>0.25 kWh for Conveyance Machine; Load 40% and Efficiency 80%</t>
  </si>
  <si>
    <t xml:space="preserve">Flour Packing </t>
  </si>
  <si>
    <t>Packed Bread Flour</t>
  </si>
  <si>
    <t>2.2 kW for Flour Packing; Load 65% and Efficiency 90%</t>
  </si>
  <si>
    <t>Paper Sack</t>
  </si>
  <si>
    <t>market for paper sack | paper sack | Cutoff, U - RoW</t>
  </si>
  <si>
    <t>The product 'paper sack", also called cement sack, paper bag, and pet food sack, represents an average European paper sack, i.e. is a hybrid mix of all types of multiwall paper sacks in Europe. It represents a mix of paper sacks composed of brown (unbleached) and white (bleached) kraft paper, LDPE and HDPE plastic liners and different kinds of glues. Paper sacks are made of sack kraft paper which is a porous kraft paper with high elasticity and high tear resistance, designed for packaging products with high demands for strength and durability. Paper sacks are used for a variety of packaging purposes with high demands for strength and durability, e.g. cement sacks and pet food sacks. It should be handled with care when used for sacks without plastic liners or small bags such as carrier bags.</t>
  </si>
  <si>
    <t>1 paper bag can contain 15kg of breadflour</t>
  </si>
  <si>
    <t>2021-2024</t>
  </si>
  <si>
    <t>Life cycle assessment of plastic and paper carrying bags in the Philippines</t>
  </si>
  <si>
    <t>https://www.sciencedirect.com/science/article/pii/S2666789424000552</t>
  </si>
  <si>
    <t>Check Weighing &amp; Metal Detection</t>
  </si>
  <si>
    <t>Packed Bread Flour, Scanned</t>
  </si>
  <si>
    <t>0.85 kWh for Check Weighing / Metal Detection; Load 90% and Efficiency 85%</t>
  </si>
  <si>
    <t>Biowaste</t>
  </si>
  <si>
    <t xml:space="preserve">market for biowaste | biowaste | Cutoff, U - RoW			</t>
  </si>
  <si>
    <t>biowaste' is a solid waste under the category of residential wastes. It can be sourced in many and various ways and therefore it can belong in all waste categories (commercial and institutional, industrial and construction and demolition). It is primarily generated in production, processing and transport of agricultural products.
'biowaste' contain the following fractions: 100% organic waste (green leaves, straw of cereal, manure liquid porc, manure liquid beef, manure solid, compost young, compost manure, etc). By the database default (and per unit of reference product),'biowaste' has 60% water on wet mass basis (40% dry matter) and Carbon present is of only non-fossil origin (16.24% on a dry matter basis). It has a higher heating value of 6.087 MJ/kg .
This kind of by-product (recyclable or waste) is generated from ordinary transforming activities, and as such can be considered for modelling waste outputs of comparable composition.
In the ecoinvent database, treatment option/s for this by-product include: biological (anaerobic digestion, industrial composting), thermal (municipal incineration), uncontrolled forms of disposal (open dump). Based on the aforementioned treatments, this by-product receives, it is a non-hazardous waste.
In addition, this by-product is used in the following processes: clinker production.
This by-product can be modelled on two levels: treatment activity and market activity. The former one refers to the specific technology treating the by-product while the latter level represents a mix of treatments. Users are encouraged to inspect the modelling assumptions of the treatment activities and when selecting the market to additionally inspect the treatment mix.
Collection and transportation of this by-product is accounted in the respective market activity, users are advised to inspect and modify the average transportation distances for a case specific modelling.</t>
  </si>
  <si>
    <t>2.% Rejected Packed Bread Flour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</si>
</sst>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0000"/>
    <numFmt numFmtId="166" formatCode="0.0000000000"/>
  </numFmts>
  <fonts count="5">
    <font>
      <sz val="11"/>
      <color theme="1"/>
      <name val="Aptos Narrow"/>
      <family val="2"/>
      <scheme val="minor"/>
    </font>
    <font>
      <b/>
      <sz val="11"/>
      <color theme="1"/>
      <name val="Aptos Narrow"/>
      <family val="2"/>
      <scheme val="minor"/>
    </font>
    <font>
      <u/>
      <sz val="11"/>
      <color theme="10"/>
      <name val="Aptos Narrow"/>
      <family val="2"/>
      <scheme val="minor"/>
    </font>
    <font>
      <b/>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0" fontId="0" fillId="2" borderId="0" xfId="0" applyFill="1"/>
    <xf numFmtId="0" fontId="1" fillId="2" borderId="0" xfId="0" applyFont="1" applyFill="1"/>
    <xf numFmtId="0" fontId="2" fillId="0" borderId="0" xfId="1"/>
    <xf numFmtId="0" fontId="0" fillId="0" borderId="1" xfId="0" applyBorder="1"/>
    <xf numFmtId="0" fontId="1" fillId="3" borderId="0" xfId="0" applyFont="1" applyFill="1"/>
    <xf numFmtId="9" fontId="1" fillId="3" borderId="0" xfId="0" applyNumberFormat="1" applyFont="1" applyFill="1"/>
    <xf numFmtId="0" fontId="3" fillId="3" borderId="0" xfId="1" applyFont="1" applyFill="1"/>
    <xf numFmtId="0" fontId="1" fillId="0" borderId="0" xfId="0" applyFont="1"/>
    <xf numFmtId="0" fontId="0" fillId="0" borderId="0" xfId="0" applyAlignment="1">
      <alignment wrapText="1"/>
    </xf>
    <xf numFmtId="0" fontId="0" fillId="0" borderId="0" xfId="0" quotePrefix="1"/>
    <xf numFmtId="0" fontId="2" fillId="0" borderId="0" xfId="1" applyFill="1"/>
    <xf numFmtId="0" fontId="0" fillId="3" borderId="0" xfId="0" applyFill="1"/>
    <xf numFmtId="0" fontId="1" fillId="3" borderId="0" xfId="0" applyFont="1" applyFill="1" applyAlignment="1">
      <alignment wrapText="1"/>
    </xf>
    <xf numFmtId="0" fontId="1" fillId="0" borderId="0" xfId="0" applyFont="1" applyAlignment="1">
      <alignment wrapText="1"/>
    </xf>
    <xf numFmtId="0" fontId="0" fillId="0" borderId="0" xfId="0" applyAlignment="1">
      <alignment horizontal="right"/>
    </xf>
    <xf numFmtId="9" fontId="1" fillId="0" borderId="0" xfId="0" applyNumberFormat="1" applyFont="1"/>
    <xf numFmtId="0" fontId="3" fillId="0" borderId="0" xfId="1" applyFont="1" applyFill="1"/>
    <xf numFmtId="9" fontId="0" fillId="0" borderId="0" xfId="0" applyNumberFormat="1"/>
    <xf numFmtId="0" fontId="2" fillId="0" borderId="0" xfId="1" applyFill="1" applyBorder="1"/>
    <xf numFmtId="0" fontId="0" fillId="0" borderId="2" xfId="0" applyBorder="1"/>
    <xf numFmtId="0" fontId="0" fillId="0" borderId="3" xfId="0" applyBorder="1"/>
    <xf numFmtId="0" fontId="0" fillId="0" borderId="4" xfId="0" applyBorder="1"/>
    <xf numFmtId="0" fontId="0" fillId="0" borderId="1" xfId="0" applyBorder="1" applyAlignment="1">
      <alignment wrapText="1"/>
    </xf>
    <xf numFmtId="165" fontId="0" fillId="0" borderId="1" xfId="0" applyNumberFormat="1" applyBorder="1"/>
    <xf numFmtId="166" fontId="0" fillId="0" borderId="1" xfId="0" applyNumberFormat="1" applyBorder="1"/>
    <xf numFmtId="164" fontId="0" fillId="0" borderId="1" xfId="0"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80/19397038.2021.1970274" TargetMode="External"/><Relationship Id="rId13" Type="http://schemas.openxmlformats.org/officeDocument/2006/relationships/hyperlink" Target="https://environment.govt.nz/assets/publications/Measuring-Emissions-2024/Measuring-emissions_Detailed-guide_2024_ME1829.pdf" TargetMode="External"/><Relationship Id="rId18" Type="http://schemas.openxmlformats.org/officeDocument/2006/relationships/hyperlink" Target="https://www.mbie.govt.nz/building-and-energy/energy-and-natural-resources/energy-statistics-and-modelling/energy-publications-and-technical-papers/energy-in-new-zealand/energy-in-new-zealand-2025/electricity" TargetMode="External"/><Relationship Id="rId3" Type="http://schemas.openxmlformats.org/officeDocument/2006/relationships/hyperlink" Target="https://www.eco-conception.fr/data/sources/users/306/docs/acv-pain-de-suede.pdf" TargetMode="External"/><Relationship Id="rId21" Type="http://schemas.openxmlformats.org/officeDocument/2006/relationships/hyperlink" Target="https://www.mbie.govt.nz/building-and-energy/energy-and-natural-resources/energy-statistics-and-modelling/energy-publications-and-technical-papers/energy-in-new-zealand/energy-in-new-zealand-2025/electricity" TargetMode="External"/><Relationship Id="rId7" Type="http://schemas.openxmlformats.org/officeDocument/2006/relationships/hyperlink" Target="https://doi.org/10.1080/19397038.2021.1970274&#169;%202021%20Informa%20UK%20Limited,%20trading%20as%20Taylor%20&amp;%20Francis%20Group" TargetMode="External"/><Relationship Id="rId12" Type="http://schemas.openxmlformats.org/officeDocument/2006/relationships/hyperlink" Target="https://www.academia.edu/7742417/Environmental_Life_Cycle_Assessment_LCA_Case_Studies_for_Australian_grain_products" TargetMode="External"/><Relationship Id="rId17" Type="http://schemas.openxmlformats.org/officeDocument/2006/relationships/hyperlink" Target="https://www.mbie.govt.nz/building-and-energy/energy-and-natural-resources/energy-statistics-and-modelling/energy-publications-and-technical-papers/energy-in-new-zealand/energy-in-new-zealand-2025/electricit" TargetMode="External"/><Relationship Id="rId2" Type="http://schemas.openxmlformats.org/officeDocument/2006/relationships/hyperlink" Target="https://www.eco-conception.fr/data/sources/users/306/docs/acv-pain-de-suede.pdf" TargetMode="External"/><Relationship Id="rId16" Type="http://schemas.openxmlformats.org/officeDocument/2006/relationships/hyperlink" Target="https://www.mbie.govt.nz/building-and-energy/energy-and-natural-resources/energy-statistics-and-modelling/energy-publications-and-technical-papers/energy-in-new-zealand/energy-in-new-zealand-2025/electricity" TargetMode="External"/><Relationship Id="rId20" Type="http://schemas.openxmlformats.org/officeDocument/2006/relationships/hyperlink" Target="https://www.mbie.govt.nz/building-and-energy/energy-and-natural-resources/energy-statistics-and-modelling/energy-publications-and-technical-papers/energy-in-new-zealand/energy-in-new-zealand-2025/electricity" TargetMode="External"/><Relationship Id="rId1" Type="http://schemas.openxmlformats.org/officeDocument/2006/relationships/hyperlink" Target="https://www.eco-conception.fr/data/sources/users/306/docs/acv-pain-de-suede.pdf" TargetMode="External"/><Relationship Id="rId6" Type="http://schemas.openxmlformats.org/officeDocument/2006/relationships/hyperlink" Target="https://www.tandfonline.com/doi/epdf/10.1080/19397038.2021.1970274?needAccess=true" TargetMode="External"/><Relationship Id="rId11" Type="http://schemas.openxmlformats.org/officeDocument/2006/relationships/hyperlink" Target="https://comptes-rendus.academie-sciences.fr/geoscience/item/10.1016/j.crte.2004.09.018.pdf" TargetMode="External"/><Relationship Id="rId5" Type="http://schemas.openxmlformats.org/officeDocument/2006/relationships/hyperlink" Target="https://www.academia.edu/7742417/Environmental_Life_Cycle_Assessment_LCA_Case_Studies_for_Australian_grain_products" TargetMode="External"/><Relationship Id="rId15" Type="http://schemas.openxmlformats.org/officeDocument/2006/relationships/hyperlink" Target="https://environment.govt.nz/assets/publications/Measuring-Emissions-2024/Measuring-emissions_Detailed-guide_2024_ME1829.pdf" TargetMode="External"/><Relationship Id="rId23" Type="http://schemas.openxmlformats.org/officeDocument/2006/relationships/hyperlink" Target="https://www.sciencedirect.com/science/article/pii/S2666789424000552" TargetMode="External"/><Relationship Id="rId10" Type="http://schemas.openxmlformats.org/officeDocument/2006/relationships/hyperlink" Target="https://comptes-rendus.academie-sciences.fr/geoscience/item/10.1016/j.crte.2004.09.018.pdf" TargetMode="External"/><Relationship Id="rId19" Type="http://schemas.openxmlformats.org/officeDocument/2006/relationships/hyperlink" Target="https://www.mbie.govt.nz/building-and-energy/energy-and-natural-resources/energy-statistics-and-modelling/energy-publications-and-technical-papers/energy-in-new-zealand/energy-in-new-zealand-2025/electricity" TargetMode="External"/><Relationship Id="rId4" Type="http://schemas.openxmlformats.org/officeDocument/2006/relationships/hyperlink" Target="https://www.eco-conception.fr/data/sources/users/306/docs/acv-pain-de-suede.pdf" TargetMode="External"/><Relationship Id="rId9" Type="http://schemas.openxmlformats.org/officeDocument/2006/relationships/hyperlink" Target="https://www.tandfonline.com/doi/full/10.1080/19397038.2021.1970274" TargetMode="External"/><Relationship Id="rId14" Type="http://schemas.openxmlformats.org/officeDocument/2006/relationships/hyperlink" Target="https://environment.govt.nz/assets/publications/Measuring-Emissions-2024/Measuring-emissions_Detailed-guide_2024_ME1829.pdf" TargetMode="External"/><Relationship Id="rId22" Type="http://schemas.openxmlformats.org/officeDocument/2006/relationships/hyperlink" Target="https://www.mbie.govt.nz/building-and-energy/energy-and-natural-resources/energy-statistics-and-modelling/energy-publications-and-technical-papers/energy-in-new-zealand/energy-in-new-zealand-2025/electric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BD919-4DF2-49F8-8911-CFE1B3E7E863}">
  <dimension ref="A1:AH88"/>
  <sheetViews>
    <sheetView tabSelected="1" topLeftCell="F1" zoomScale="115" workbookViewId="0">
      <selection activeCell="N44" sqref="N44"/>
    </sheetView>
  </sheetViews>
  <sheetFormatPr defaultRowHeight="14.25"/>
  <cols>
    <col min="2" max="2" width="43.140625" customWidth="1"/>
    <col min="3" max="3" width="9.7109375" bestFit="1" customWidth="1"/>
    <col min="4" max="4" width="9.7109375" customWidth="1"/>
    <col min="5" max="5" width="28.5703125" customWidth="1"/>
    <col min="6" max="6" width="12.5703125" customWidth="1"/>
    <col min="7" max="7" width="18.85546875" customWidth="1"/>
    <col min="8" max="8" width="12.28515625" bestFit="1" customWidth="1"/>
    <col min="10" max="10" width="32.85546875" customWidth="1"/>
    <col min="11" max="11" width="32" customWidth="1"/>
    <col min="12" max="12" width="9" hidden="1" customWidth="1"/>
    <col min="13" max="14" width="41.7109375" customWidth="1"/>
    <col min="15" max="15" width="53.140625" customWidth="1"/>
  </cols>
  <sheetData>
    <row r="1" spans="7:12">
      <c r="J1" s="8" t="s">
        <v>0</v>
      </c>
    </row>
    <row r="2" spans="7:12">
      <c r="H2" s="4" t="s">
        <v>1</v>
      </c>
      <c r="I2" s="4" t="s">
        <v>2</v>
      </c>
      <c r="J2" s="4" t="s">
        <v>3</v>
      </c>
    </row>
    <row r="3" spans="7:12">
      <c r="H3" s="4">
        <f>(100/72.5)*H4</f>
        <v>1.6643262079367556</v>
      </c>
      <c r="I3" s="4" t="s">
        <v>4</v>
      </c>
      <c r="J3" s="4" t="s">
        <v>5</v>
      </c>
    </row>
    <row r="4" spans="7:12">
      <c r="H4" s="4">
        <f>(100/85)*H5</f>
        <v>1.2066365007541477</v>
      </c>
      <c r="I4" s="4" t="s">
        <v>4</v>
      </c>
      <c r="J4" s="4" t="s">
        <v>6</v>
      </c>
    </row>
    <row r="5" spans="7:12">
      <c r="H5" s="4">
        <f>(100/97.5)*H6</f>
        <v>1.0256410256410255</v>
      </c>
      <c r="I5" s="4" t="s">
        <v>4</v>
      </c>
      <c r="J5" s="4" t="s">
        <v>7</v>
      </c>
    </row>
    <row r="6" spans="7:12">
      <c r="H6" s="4">
        <v>1</v>
      </c>
      <c r="I6" s="4" t="s">
        <v>4</v>
      </c>
      <c r="J6" s="4" t="s">
        <v>8</v>
      </c>
    </row>
    <row r="8" spans="7:12">
      <c r="J8" s="8" t="s">
        <v>9</v>
      </c>
    </row>
    <row r="9" spans="7:12">
      <c r="H9" s="4" t="s">
        <v>10</v>
      </c>
      <c r="I9" s="4" t="s">
        <v>2</v>
      </c>
      <c r="J9" s="4" t="s">
        <v>11</v>
      </c>
    </row>
    <row r="10" spans="7:12">
      <c r="H10" s="4">
        <v>160</v>
      </c>
      <c r="I10" s="4" t="s">
        <v>12</v>
      </c>
      <c r="J10" s="4" t="s">
        <v>13</v>
      </c>
    </row>
    <row r="11" spans="7:12">
      <c r="H11" s="4">
        <f>H3*1000</f>
        <v>1664.3262079367555</v>
      </c>
      <c r="I11" s="4" t="s">
        <v>14</v>
      </c>
      <c r="J11" s="4" t="s">
        <v>15</v>
      </c>
    </row>
    <row r="12" spans="7:12">
      <c r="H12" s="4">
        <f>H11/H10</f>
        <v>10.402038799604721</v>
      </c>
      <c r="I12" s="4" t="s">
        <v>16</v>
      </c>
      <c r="J12" s="4" t="s">
        <v>17</v>
      </c>
    </row>
    <row r="14" spans="7:12">
      <c r="J14" s="8" t="s">
        <v>18</v>
      </c>
    </row>
    <row r="15" spans="7:12">
      <c r="G15" s="20" t="s">
        <v>19</v>
      </c>
      <c r="H15" s="21" t="s">
        <v>20</v>
      </c>
      <c r="I15" s="21" t="s">
        <v>2</v>
      </c>
      <c r="J15" s="22" t="s">
        <v>21</v>
      </c>
      <c r="K15" t="s">
        <v>22</v>
      </c>
      <c r="L15" t="s">
        <v>22</v>
      </c>
    </row>
    <row r="16" spans="7:12">
      <c r="G16" s="20" t="s">
        <v>23</v>
      </c>
      <c r="H16" s="26">
        <v>0.53500000000000003</v>
      </c>
      <c r="I16" s="4" t="s">
        <v>24</v>
      </c>
      <c r="J16" s="4" t="s">
        <v>25</v>
      </c>
      <c r="K16" s="19" t="s">
        <v>26</v>
      </c>
    </row>
    <row r="17" spans="1:34">
      <c r="G17" s="20" t="s">
        <v>27</v>
      </c>
      <c r="H17" s="26">
        <v>0.19900000000000001</v>
      </c>
      <c r="I17" s="4" t="s">
        <v>24</v>
      </c>
      <c r="J17" s="4" t="s">
        <v>25</v>
      </c>
      <c r="K17" s="19" t="s">
        <v>28</v>
      </c>
    </row>
    <row r="18" spans="1:34">
      <c r="G18" s="20" t="s">
        <v>29</v>
      </c>
      <c r="H18" s="26">
        <v>9.2999999999999999E-2</v>
      </c>
      <c r="I18" s="4" t="s">
        <v>24</v>
      </c>
      <c r="J18" s="4" t="s">
        <v>25</v>
      </c>
      <c r="K18" s="19" t="s">
        <v>26</v>
      </c>
    </row>
    <row r="19" spans="1:34">
      <c r="G19" s="20" t="s">
        <v>30</v>
      </c>
      <c r="H19" s="26">
        <v>8.8999999999999996E-2</v>
      </c>
      <c r="I19" s="4" t="s">
        <v>24</v>
      </c>
      <c r="J19" s="4" t="s">
        <v>31</v>
      </c>
      <c r="K19" s="19" t="s">
        <v>26</v>
      </c>
    </row>
    <row r="20" spans="1:34">
      <c r="G20" s="20" t="s">
        <v>32</v>
      </c>
      <c r="H20" s="26">
        <v>5.0999999999999997E-2</v>
      </c>
      <c r="I20" s="4" t="s">
        <v>24</v>
      </c>
      <c r="J20" s="4" t="s">
        <v>31</v>
      </c>
      <c r="K20" s="19" t="s">
        <v>26</v>
      </c>
    </row>
    <row r="21" spans="1:34">
      <c r="G21" s="20" t="s">
        <v>33</v>
      </c>
      <c r="H21" s="26">
        <v>1.7999999999999999E-2</v>
      </c>
      <c r="I21" s="4" t="s">
        <v>24</v>
      </c>
      <c r="J21" s="4" t="s">
        <v>31</v>
      </c>
      <c r="K21" s="19" t="s">
        <v>26</v>
      </c>
    </row>
    <row r="22" spans="1:34">
      <c r="G22" s="20" t="s">
        <v>34</v>
      </c>
      <c r="H22" s="26">
        <v>1.4E-2</v>
      </c>
      <c r="I22" s="4" t="s">
        <v>24</v>
      </c>
      <c r="J22" s="4" t="s">
        <v>31</v>
      </c>
      <c r="K22" s="19" t="s">
        <v>26</v>
      </c>
    </row>
    <row r="23" spans="1:34" ht="28.9" customHeight="1">
      <c r="G23" s="23" t="s">
        <v>35</v>
      </c>
      <c r="H23" s="24">
        <v>6.5820984882502598E-9</v>
      </c>
      <c r="I23" s="4" t="s">
        <v>36</v>
      </c>
      <c r="J23" s="4" t="s">
        <v>37</v>
      </c>
      <c r="K23" s="19"/>
    </row>
    <row r="24" spans="1:34">
      <c r="G24" s="4" t="s">
        <v>38</v>
      </c>
      <c r="H24" s="25">
        <v>3.1699999999999999E-10</v>
      </c>
      <c r="I24" s="4" t="s">
        <v>36</v>
      </c>
      <c r="J24" s="4" t="s">
        <v>39</v>
      </c>
      <c r="K24" s="19"/>
    </row>
    <row r="26" spans="1:34">
      <c r="A26" s="2" t="s">
        <v>40</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row r="27" spans="1:34">
      <c r="A27" t="s">
        <v>41</v>
      </c>
      <c r="B27" t="s">
        <v>42</v>
      </c>
      <c r="C27" t="s">
        <v>43</v>
      </c>
      <c r="D27" t="s">
        <v>44</v>
      </c>
      <c r="E27" t="s">
        <v>45</v>
      </c>
      <c r="F27" t="s">
        <v>46</v>
      </c>
      <c r="G27" t="s">
        <v>47</v>
      </c>
      <c r="H27" t="s">
        <v>48</v>
      </c>
      <c r="I27" t="s">
        <v>49</v>
      </c>
      <c r="J27" t="s">
        <v>50</v>
      </c>
      <c r="K27" t="s">
        <v>51</v>
      </c>
      <c r="L27" t="s">
        <v>52</v>
      </c>
      <c r="M27" t="s">
        <v>53</v>
      </c>
      <c r="N27" t="s">
        <v>54</v>
      </c>
      <c r="O27" t="s">
        <v>21</v>
      </c>
      <c r="P27" t="s">
        <v>55</v>
      </c>
      <c r="Q27" t="s">
        <v>22</v>
      </c>
    </row>
    <row r="28" spans="1:34">
      <c r="A28" s="5">
        <v>1</v>
      </c>
      <c r="B28" s="5" t="s">
        <v>56</v>
      </c>
      <c r="C28" s="6"/>
      <c r="D28" s="6"/>
      <c r="E28" s="6"/>
      <c r="F28" s="5"/>
      <c r="G28" s="5"/>
      <c r="H28" s="5"/>
      <c r="I28" s="5"/>
      <c r="J28" s="5" t="s">
        <v>57</v>
      </c>
      <c r="K28" s="5"/>
      <c r="L28" s="5"/>
      <c r="M28" s="5"/>
      <c r="N28" s="5"/>
      <c r="O28" s="5"/>
      <c r="P28" s="5"/>
      <c r="Q28" s="7"/>
      <c r="R28" s="5"/>
      <c r="S28" s="5"/>
      <c r="T28" s="5"/>
      <c r="U28" s="5"/>
      <c r="V28" s="5"/>
      <c r="W28" s="5"/>
      <c r="X28" s="5"/>
    </row>
    <row r="29" spans="1:34">
      <c r="A29" s="8"/>
      <c r="B29" s="8" t="s">
        <v>58</v>
      </c>
      <c r="C29" s="16">
        <v>1</v>
      </c>
      <c r="D29" s="16" t="s">
        <v>59</v>
      </c>
      <c r="E29" s="16" t="s">
        <v>60</v>
      </c>
      <c r="F29" s="8">
        <f>SUM(F30:F34)</f>
        <v>1.0012922173274597</v>
      </c>
      <c r="G29" s="8" t="s">
        <v>14</v>
      </c>
      <c r="H29" s="8">
        <f>(F29*H11)</f>
        <v>1666.4768791011966</v>
      </c>
      <c r="I29" s="8" t="s">
        <v>14</v>
      </c>
      <c r="J29" s="8" t="s">
        <v>57</v>
      </c>
      <c r="K29" s="8"/>
      <c r="L29" s="8"/>
      <c r="M29" s="8" t="s">
        <v>61</v>
      </c>
      <c r="N29" s="8"/>
      <c r="O29" s="8"/>
      <c r="P29" s="8"/>
      <c r="Q29" s="17"/>
      <c r="R29" s="8"/>
      <c r="S29" s="8"/>
      <c r="T29" s="8"/>
      <c r="U29" s="8"/>
      <c r="V29" s="8"/>
      <c r="W29" s="8"/>
      <c r="X29" s="8"/>
    </row>
    <row r="30" spans="1:34">
      <c r="B30" t="s">
        <v>62</v>
      </c>
      <c r="D30" t="s">
        <v>63</v>
      </c>
      <c r="E30" t="s">
        <v>60</v>
      </c>
      <c r="F30">
        <f>0.7/1.342</f>
        <v>0.5216095380029806</v>
      </c>
      <c r="G30" t="s">
        <v>14</v>
      </c>
      <c r="H30">
        <f>(F30*H11)</f>
        <v>868.1284244081437</v>
      </c>
      <c r="I30" t="s">
        <v>14</v>
      </c>
      <c r="J30" t="s">
        <v>64</v>
      </c>
      <c r="K30" t="s">
        <v>65</v>
      </c>
      <c r="L30" t="s">
        <v>66</v>
      </c>
      <c r="O30" t="s">
        <v>67</v>
      </c>
      <c r="P30" s="8"/>
      <c r="Q30" s="11" t="s">
        <v>68</v>
      </c>
    </row>
    <row r="31" spans="1:34">
      <c r="B31" t="s">
        <v>69</v>
      </c>
      <c r="D31" t="s">
        <v>63</v>
      </c>
      <c r="E31" t="s">
        <v>60</v>
      </c>
      <c r="F31">
        <f>0.6/1.342</f>
        <v>0.4470938897168405</v>
      </c>
      <c r="G31" t="s">
        <v>14</v>
      </c>
      <c r="H31">
        <f>F31*H11</f>
        <v>744.11007806412306</v>
      </c>
      <c r="I31" t="s">
        <v>14</v>
      </c>
      <c r="J31" t="s">
        <v>70</v>
      </c>
      <c r="K31" t="s">
        <v>71</v>
      </c>
      <c r="L31" t="s">
        <v>72</v>
      </c>
      <c r="O31" t="s">
        <v>67</v>
      </c>
      <c r="P31" s="8"/>
      <c r="Q31" s="11" t="s">
        <v>68</v>
      </c>
    </row>
    <row r="32" spans="1:34">
      <c r="B32" t="s">
        <v>73</v>
      </c>
      <c r="D32" t="s">
        <v>63</v>
      </c>
      <c r="E32" t="s">
        <v>60</v>
      </c>
      <c r="F32">
        <f>0.025/1.342</f>
        <v>1.8628912071535022E-2</v>
      </c>
      <c r="G32" t="s">
        <v>14</v>
      </c>
      <c r="H32">
        <f>(F32*H11)</f>
        <v>31.004586586005132</v>
      </c>
      <c r="I32" t="s">
        <v>14</v>
      </c>
      <c r="J32" t="s">
        <v>74</v>
      </c>
      <c r="K32" t="s">
        <v>75</v>
      </c>
      <c r="L32" t="s">
        <v>72</v>
      </c>
      <c r="O32" t="s">
        <v>67</v>
      </c>
      <c r="P32" s="8"/>
      <c r="Q32" s="11" t="s">
        <v>68</v>
      </c>
    </row>
    <row r="33" spans="1:24">
      <c r="B33" t="s">
        <v>76</v>
      </c>
      <c r="D33" t="s">
        <v>63</v>
      </c>
      <c r="E33" t="s">
        <v>60</v>
      </c>
      <c r="F33">
        <f>0.017/1.342</f>
        <v>1.2667660208643815E-2</v>
      </c>
      <c r="G33" t="s">
        <v>14</v>
      </c>
      <c r="H33">
        <f>(F33*H11)</f>
        <v>21.083118878483489</v>
      </c>
      <c r="I33" t="s">
        <v>14</v>
      </c>
      <c r="J33" t="s">
        <v>77</v>
      </c>
      <c r="K33" t="s">
        <v>78</v>
      </c>
      <c r="L33" t="s">
        <v>79</v>
      </c>
      <c r="O33" t="s">
        <v>67</v>
      </c>
      <c r="P33" s="8"/>
      <c r="Q33" s="11" t="s">
        <v>68</v>
      </c>
    </row>
    <row r="34" spans="1:24" ht="57">
      <c r="B34" t="s">
        <v>80</v>
      </c>
      <c r="D34" t="s">
        <v>63</v>
      </c>
      <c r="E34" t="s">
        <v>60</v>
      </c>
      <c r="F34">
        <f>(1/0.681)*0.00088</f>
        <v>1.292217327459618E-3</v>
      </c>
      <c r="G34" t="s">
        <v>14</v>
      </c>
      <c r="H34">
        <f>(F34*H11)</f>
        <v>2.1506711644410346</v>
      </c>
      <c r="I34" t="s">
        <v>14</v>
      </c>
      <c r="J34" s="9" t="s">
        <v>81</v>
      </c>
      <c r="K34" s="10" t="s">
        <v>82</v>
      </c>
      <c r="L34" t="s">
        <v>83</v>
      </c>
      <c r="M34" t="s">
        <v>84</v>
      </c>
      <c r="O34" s="9" t="s">
        <v>85</v>
      </c>
      <c r="Q34" s="3" t="s">
        <v>86</v>
      </c>
    </row>
    <row r="35" spans="1:24">
      <c r="A35" s="5">
        <v>2</v>
      </c>
      <c r="B35" s="5" t="s">
        <v>87</v>
      </c>
      <c r="C35" s="5"/>
      <c r="D35" s="5"/>
      <c r="E35" s="5"/>
      <c r="F35" s="5"/>
      <c r="G35" s="5"/>
      <c r="H35" s="5"/>
      <c r="I35" s="5"/>
      <c r="J35" s="13" t="s">
        <v>88</v>
      </c>
      <c r="K35" s="5"/>
      <c r="L35" s="5"/>
      <c r="M35" s="5"/>
      <c r="N35" s="5"/>
      <c r="O35" s="5"/>
      <c r="P35" s="5"/>
      <c r="Q35" s="5"/>
      <c r="R35" s="5"/>
      <c r="S35" s="5"/>
      <c r="T35" s="5"/>
      <c r="U35" s="5"/>
      <c r="V35" s="5"/>
      <c r="W35" s="5"/>
      <c r="X35" s="5"/>
    </row>
    <row r="36" spans="1:24">
      <c r="A36" s="8"/>
      <c r="B36" s="8" t="s">
        <v>89</v>
      </c>
      <c r="C36" s="8"/>
      <c r="D36" s="8" t="s">
        <v>59</v>
      </c>
      <c r="E36" s="8" t="s">
        <v>60</v>
      </c>
      <c r="F36" s="8">
        <v>1</v>
      </c>
      <c r="G36" s="8" t="s">
        <v>90</v>
      </c>
      <c r="H36" s="8"/>
      <c r="I36" s="8"/>
      <c r="J36" s="14" t="s">
        <v>88</v>
      </c>
      <c r="K36" s="8"/>
      <c r="L36" s="8"/>
      <c r="M36" s="8"/>
      <c r="N36" s="8"/>
      <c r="O36" s="8"/>
      <c r="P36" s="8"/>
      <c r="Q36" s="8"/>
      <c r="R36" s="8"/>
      <c r="S36" s="8"/>
      <c r="T36" s="8"/>
      <c r="U36" s="8"/>
      <c r="V36" s="8"/>
      <c r="W36" s="8"/>
      <c r="X36" s="8"/>
    </row>
    <row r="37" spans="1:24">
      <c r="A37" s="8"/>
      <c r="B37" t="s">
        <v>58</v>
      </c>
      <c r="C37" s="8"/>
      <c r="D37" t="s">
        <v>63</v>
      </c>
      <c r="E37" t="s">
        <v>91</v>
      </c>
      <c r="F37">
        <f>F29</f>
        <v>1.0012922173274597</v>
      </c>
      <c r="G37" t="s">
        <v>14</v>
      </c>
      <c r="H37">
        <f>H29</f>
        <v>1666.4768791011966</v>
      </c>
      <c r="I37" t="s">
        <v>14</v>
      </c>
      <c r="J37" s="14"/>
      <c r="K37" s="8"/>
      <c r="L37" s="8"/>
      <c r="M37" s="8"/>
      <c r="N37" s="8"/>
      <c r="O37" s="8"/>
      <c r="P37" s="8"/>
      <c r="Q37" s="8"/>
      <c r="R37" s="8"/>
      <c r="S37" s="8"/>
      <c r="T37" s="8"/>
      <c r="U37" s="8"/>
      <c r="V37" s="8"/>
      <c r="W37" s="8"/>
      <c r="X37" s="8"/>
    </row>
    <row r="38" spans="1:24">
      <c r="B38" t="s">
        <v>92</v>
      </c>
      <c r="D38" t="s">
        <v>63</v>
      </c>
      <c r="E38" t="s">
        <v>60</v>
      </c>
      <c r="F38" s="15" t="s">
        <v>93</v>
      </c>
      <c r="G38" t="s">
        <v>94</v>
      </c>
      <c r="H38" t="s">
        <v>95</v>
      </c>
      <c r="I38" t="s">
        <v>94</v>
      </c>
      <c r="J38" t="s">
        <v>96</v>
      </c>
      <c r="K38" t="s">
        <v>97</v>
      </c>
      <c r="L38" t="s">
        <v>98</v>
      </c>
      <c r="M38" t="s">
        <v>99</v>
      </c>
      <c r="O38" t="s">
        <v>100</v>
      </c>
    </row>
    <row r="39" spans="1:24">
      <c r="A39" s="5">
        <v>3</v>
      </c>
      <c r="B39" s="5" t="s">
        <v>101</v>
      </c>
      <c r="C39" s="12"/>
      <c r="D39" s="5"/>
      <c r="E39" s="5"/>
      <c r="F39" s="12"/>
      <c r="G39" s="12"/>
      <c r="H39" s="12"/>
      <c r="I39" s="12"/>
      <c r="J39" s="12"/>
      <c r="K39" s="12"/>
      <c r="L39" s="12"/>
      <c r="M39" s="12"/>
      <c r="N39" s="12"/>
      <c r="O39" s="12"/>
      <c r="P39" s="12"/>
      <c r="Q39" s="12"/>
      <c r="R39" s="12"/>
      <c r="S39" s="12"/>
      <c r="T39" s="12"/>
      <c r="U39" s="12"/>
      <c r="V39" s="12"/>
      <c r="W39" s="12"/>
      <c r="X39" s="12"/>
    </row>
    <row r="40" spans="1:24">
      <c r="A40" s="8"/>
      <c r="B40" s="8" t="s">
        <v>102</v>
      </c>
      <c r="D40" s="8" t="s">
        <v>59</v>
      </c>
      <c r="E40" s="8" t="s">
        <v>60</v>
      </c>
    </row>
    <row r="41" spans="1:24">
      <c r="B41" t="s">
        <v>89</v>
      </c>
      <c r="C41" s="18">
        <v>0.91</v>
      </c>
      <c r="D41" t="s">
        <v>63</v>
      </c>
      <c r="E41" t="s">
        <v>60</v>
      </c>
      <c r="F41" s="1">
        <f>F37</f>
        <v>1.0012922173274597</v>
      </c>
      <c r="G41" s="1" t="s">
        <v>14</v>
      </c>
      <c r="H41" s="1">
        <f>F41*H11</f>
        <v>1666.4768791011966</v>
      </c>
      <c r="I41" t="s">
        <v>14</v>
      </c>
    </row>
    <row r="42" spans="1:24">
      <c r="B42" t="s">
        <v>103</v>
      </c>
      <c r="D42" t="s">
        <v>63</v>
      </c>
      <c r="E42" t="s">
        <v>60</v>
      </c>
      <c r="F42">
        <v>7.8</v>
      </c>
      <c r="G42" t="s">
        <v>104</v>
      </c>
      <c r="H42">
        <f>F42*H12</f>
        <v>81.135902636916825</v>
      </c>
      <c r="I42" t="s">
        <v>104</v>
      </c>
      <c r="J42" s="9" t="s">
        <v>105</v>
      </c>
      <c r="L42" t="s">
        <v>106</v>
      </c>
      <c r="M42" t="s">
        <v>107</v>
      </c>
      <c r="O42" t="s">
        <v>108</v>
      </c>
      <c r="P42" s="3" t="s">
        <v>109</v>
      </c>
      <c r="Q42" s="3" t="s">
        <v>110</v>
      </c>
    </row>
    <row r="43" spans="1:24" ht="28.5">
      <c r="B43" t="s">
        <v>69</v>
      </c>
      <c r="C43" s="18">
        <v>0.09</v>
      </c>
      <c r="D43" t="s">
        <v>63</v>
      </c>
      <c r="E43" t="s">
        <v>60</v>
      </c>
      <c r="F43">
        <f>0.09</f>
        <v>0.09</v>
      </c>
      <c r="G43" t="s">
        <v>14</v>
      </c>
      <c r="H43">
        <f>F43*H11</f>
        <v>149.78935871430798</v>
      </c>
      <c r="I43" t="s">
        <v>14</v>
      </c>
      <c r="J43" s="9" t="s">
        <v>111</v>
      </c>
      <c r="K43" t="s">
        <v>71</v>
      </c>
      <c r="M43" t="s">
        <v>112</v>
      </c>
      <c r="O43" t="s">
        <v>113</v>
      </c>
      <c r="P43" s="3"/>
      <c r="Q43" s="3" t="s">
        <v>114</v>
      </c>
    </row>
    <row r="44" spans="1:24" ht="15">
      <c r="B44" t="s">
        <v>115</v>
      </c>
      <c r="C44" s="18" t="s">
        <v>116</v>
      </c>
      <c r="D44" t="s">
        <v>116</v>
      </c>
      <c r="E44" t="s">
        <v>116</v>
      </c>
      <c r="F44" t="s">
        <v>116</v>
      </c>
      <c r="G44" t="s">
        <v>116</v>
      </c>
      <c r="H44" t="s">
        <v>116</v>
      </c>
      <c r="I44" t="s">
        <v>116</v>
      </c>
      <c r="J44" s="9" t="s">
        <v>116</v>
      </c>
      <c r="K44" t="s">
        <v>116</v>
      </c>
      <c r="M44" t="s">
        <v>116</v>
      </c>
      <c r="P44" s="3"/>
      <c r="Q44" s="3"/>
    </row>
    <row r="45" spans="1:24" ht="43.5">
      <c r="B45" s="14" t="s">
        <v>117</v>
      </c>
      <c r="C45" s="8"/>
      <c r="D45" s="8" t="s">
        <v>59</v>
      </c>
      <c r="E45" s="8" t="s">
        <v>118</v>
      </c>
      <c r="F45" s="8">
        <f>1.2*10^-1</f>
        <v>0.12</v>
      </c>
      <c r="G45" s="8" t="s">
        <v>14</v>
      </c>
      <c r="H45" s="8">
        <f>F45*H42</f>
        <v>9.7363083164300193</v>
      </c>
      <c r="I45" s="8" t="s">
        <v>14</v>
      </c>
      <c r="J45" s="8" t="s">
        <v>119</v>
      </c>
      <c r="M45" s="8" t="s">
        <v>120</v>
      </c>
      <c r="N45" s="8"/>
      <c r="O45" s="14" t="s">
        <v>121</v>
      </c>
      <c r="P45" s="3" t="s">
        <v>122</v>
      </c>
      <c r="Q45" s="3" t="s">
        <v>123</v>
      </c>
    </row>
    <row r="46" spans="1:24">
      <c r="A46" s="5">
        <v>4</v>
      </c>
      <c r="B46" s="5" t="s">
        <v>124</v>
      </c>
      <c r="C46" s="5"/>
      <c r="D46" s="5"/>
      <c r="E46" s="5"/>
      <c r="F46" s="5"/>
      <c r="G46" s="12"/>
      <c r="H46" s="12"/>
      <c r="I46" s="12"/>
      <c r="J46" s="12"/>
      <c r="K46" s="12"/>
      <c r="L46" s="12"/>
      <c r="M46" s="12"/>
      <c r="N46" s="12"/>
      <c r="O46" s="12"/>
      <c r="P46" s="12"/>
      <c r="Q46" s="12"/>
      <c r="R46" s="12"/>
      <c r="S46" s="12"/>
      <c r="T46" s="12"/>
      <c r="U46" s="12"/>
      <c r="V46" s="12"/>
      <c r="W46" s="12"/>
      <c r="X46" s="12"/>
    </row>
    <row r="47" spans="1:24">
      <c r="B47" s="8" t="s">
        <v>125</v>
      </c>
      <c r="C47" s="8"/>
      <c r="D47" s="8" t="s">
        <v>59</v>
      </c>
      <c r="E47" s="8" t="s">
        <v>60</v>
      </c>
      <c r="F47" s="8">
        <v>1</v>
      </c>
      <c r="G47" s="8" t="s">
        <v>90</v>
      </c>
      <c r="H47" s="8"/>
      <c r="I47" s="8"/>
    </row>
    <row r="48" spans="1:24">
      <c r="B48" t="s">
        <v>126</v>
      </c>
      <c r="D48" t="s">
        <v>63</v>
      </c>
      <c r="E48" t="s">
        <v>60</v>
      </c>
      <c r="F48">
        <f>F43+F41</f>
        <v>1.0912922173274597</v>
      </c>
      <c r="G48" t="s">
        <v>4</v>
      </c>
    </row>
    <row r="49" spans="1:24">
      <c r="B49" t="s">
        <v>92</v>
      </c>
      <c r="D49" t="s">
        <v>63</v>
      </c>
      <c r="E49" t="s">
        <v>60</v>
      </c>
      <c r="F49" s="15" t="s">
        <v>127</v>
      </c>
      <c r="G49" t="s">
        <v>128</v>
      </c>
      <c r="J49" t="s">
        <v>129</v>
      </c>
      <c r="K49" t="s">
        <v>97</v>
      </c>
      <c r="M49" t="s">
        <v>130</v>
      </c>
      <c r="O49" t="s">
        <v>100</v>
      </c>
    </row>
    <row r="50" spans="1:24">
      <c r="A50" s="5">
        <v>5</v>
      </c>
      <c r="B50" s="5" t="s">
        <v>131</v>
      </c>
      <c r="C50" s="5"/>
      <c r="D50" s="5"/>
      <c r="E50" s="5"/>
      <c r="F50" s="5"/>
      <c r="G50" s="5"/>
      <c r="H50" s="5"/>
      <c r="I50" s="5"/>
      <c r="J50" s="5"/>
      <c r="K50" s="5"/>
      <c r="L50" s="5"/>
      <c r="M50" s="5"/>
      <c r="N50" s="5"/>
      <c r="O50" s="5"/>
      <c r="P50" s="5"/>
      <c r="Q50" s="5"/>
      <c r="R50" s="5"/>
      <c r="S50" s="5"/>
      <c r="T50" s="5"/>
      <c r="U50" s="5"/>
      <c r="V50" s="5"/>
      <c r="W50" s="5"/>
      <c r="X50" s="5"/>
    </row>
    <row r="51" spans="1:24" ht="28.5">
      <c r="B51" s="14" t="s">
        <v>132</v>
      </c>
      <c r="C51" s="8"/>
      <c r="D51" s="8" t="s">
        <v>59</v>
      </c>
      <c r="E51" s="8" t="s">
        <v>60</v>
      </c>
      <c r="F51" s="8">
        <v>1E-3</v>
      </c>
      <c r="G51" s="8" t="s">
        <v>4</v>
      </c>
      <c r="H51" s="8"/>
      <c r="I51" s="8"/>
    </row>
    <row r="52" spans="1:24">
      <c r="B52" s="9" t="s">
        <v>133</v>
      </c>
      <c r="D52" t="s">
        <v>63</v>
      </c>
      <c r="E52" t="s">
        <v>60</v>
      </c>
      <c r="F52">
        <v>1</v>
      </c>
      <c r="G52" t="s">
        <v>90</v>
      </c>
    </row>
    <row r="53" spans="1:24">
      <c r="B53" s="8" t="s">
        <v>134</v>
      </c>
      <c r="C53" s="8"/>
      <c r="D53" s="8" t="s">
        <v>59</v>
      </c>
      <c r="E53" s="8" t="s">
        <v>118</v>
      </c>
      <c r="F53" s="8">
        <f>0.001*0.09</f>
        <v>8.9999999999999992E-5</v>
      </c>
      <c r="G53" s="8" t="s">
        <v>4</v>
      </c>
      <c r="H53" s="8"/>
      <c r="I53" s="8"/>
      <c r="J53" s="8" t="s">
        <v>135</v>
      </c>
      <c r="K53" s="8"/>
      <c r="L53" s="8"/>
      <c r="M53" s="8" t="s">
        <v>136</v>
      </c>
      <c r="N53" s="8"/>
      <c r="O53" s="8" t="s">
        <v>113</v>
      </c>
      <c r="Q53" s="3" t="s">
        <v>114</v>
      </c>
    </row>
    <row r="54" spans="1:24">
      <c r="A54" s="5">
        <v>6</v>
      </c>
      <c r="B54" s="5" t="s">
        <v>137</v>
      </c>
      <c r="C54" s="5"/>
      <c r="D54" s="5"/>
      <c r="E54" s="5"/>
      <c r="F54" s="5"/>
      <c r="G54" s="5"/>
      <c r="H54" s="5"/>
      <c r="I54" s="5"/>
      <c r="J54" s="5"/>
      <c r="K54" s="5"/>
      <c r="L54" s="5"/>
      <c r="M54" s="5"/>
      <c r="N54" s="5"/>
      <c r="O54" s="5"/>
      <c r="P54" s="5"/>
      <c r="Q54" s="5"/>
      <c r="R54" s="5"/>
      <c r="S54" s="5"/>
      <c r="T54" s="5"/>
      <c r="U54" s="5"/>
      <c r="V54" s="5"/>
      <c r="W54" s="5"/>
      <c r="X54" s="5"/>
    </row>
    <row r="55" spans="1:24">
      <c r="B55" s="8" t="s">
        <v>138</v>
      </c>
      <c r="D55" s="8" t="s">
        <v>59</v>
      </c>
      <c r="E55" s="8" t="s">
        <v>60</v>
      </c>
      <c r="F55" s="8">
        <v>1E-3</v>
      </c>
      <c r="G55" s="8" t="s">
        <v>4</v>
      </c>
      <c r="H55" s="8"/>
      <c r="I55" s="8"/>
    </row>
    <row r="56" spans="1:24">
      <c r="B56" t="s">
        <v>139</v>
      </c>
      <c r="D56" t="s">
        <v>63</v>
      </c>
      <c r="E56" t="s">
        <v>60</v>
      </c>
      <c r="F56">
        <v>1E-3</v>
      </c>
      <c r="G56" t="s">
        <v>4</v>
      </c>
    </row>
    <row r="57" spans="1:24">
      <c r="B57" t="s">
        <v>103</v>
      </c>
      <c r="D57" t="s">
        <v>63</v>
      </c>
      <c r="E57" t="s">
        <v>60</v>
      </c>
      <c r="F57">
        <v>3.3</v>
      </c>
      <c r="G57" t="s">
        <v>104</v>
      </c>
      <c r="J57" s="9" t="s">
        <v>105</v>
      </c>
      <c r="M57" t="s">
        <v>140</v>
      </c>
      <c r="O57" t="s">
        <v>141</v>
      </c>
    </row>
    <row r="58" spans="1:24">
      <c r="B58" t="s">
        <v>103</v>
      </c>
      <c r="D58" t="s">
        <v>63</v>
      </c>
      <c r="E58" t="s">
        <v>60</v>
      </c>
      <c r="F58">
        <v>0.38</v>
      </c>
      <c r="G58" t="s">
        <v>104</v>
      </c>
      <c r="J58" s="9" t="s">
        <v>105</v>
      </c>
      <c r="M58" t="s">
        <v>142</v>
      </c>
      <c r="O58" t="s">
        <v>141</v>
      </c>
    </row>
    <row r="59" spans="1:24" ht="28.5">
      <c r="B59" s="8" t="s">
        <v>143</v>
      </c>
      <c r="C59" s="8"/>
      <c r="D59" s="8" t="s">
        <v>59</v>
      </c>
      <c r="E59" s="8" t="s">
        <v>144</v>
      </c>
      <c r="F59" s="8">
        <v>1.292E-3</v>
      </c>
      <c r="G59" s="8" t="s">
        <v>4</v>
      </c>
      <c r="H59" s="8"/>
      <c r="I59" s="8"/>
      <c r="J59" s="8" t="s">
        <v>145</v>
      </c>
      <c r="K59" s="8"/>
      <c r="L59" s="8"/>
      <c r="M59" s="8" t="s">
        <v>84</v>
      </c>
      <c r="N59" s="8"/>
      <c r="O59" s="9" t="s">
        <v>85</v>
      </c>
      <c r="Q59" s="3" t="s">
        <v>86</v>
      </c>
    </row>
    <row r="60" spans="1:24">
      <c r="A60" s="5">
        <v>7</v>
      </c>
      <c r="B60" s="5" t="s">
        <v>146</v>
      </c>
      <c r="C60" s="12"/>
      <c r="D60" s="12"/>
      <c r="E60" s="12"/>
      <c r="F60" s="12"/>
      <c r="G60" s="12"/>
      <c r="H60" s="12"/>
      <c r="I60" s="12"/>
      <c r="J60" s="12"/>
      <c r="K60" s="12"/>
      <c r="L60" s="12"/>
      <c r="M60" s="12"/>
      <c r="N60" s="12"/>
      <c r="O60" s="12"/>
      <c r="P60" s="12"/>
      <c r="Q60" s="12"/>
      <c r="R60" s="12"/>
      <c r="S60" s="12"/>
      <c r="T60" s="12"/>
      <c r="U60" s="12"/>
      <c r="V60" s="12"/>
      <c r="W60" s="12"/>
      <c r="X60" s="12"/>
    </row>
    <row r="61" spans="1:24">
      <c r="B61" s="8" t="s">
        <v>147</v>
      </c>
      <c r="D61" s="8" t="s">
        <v>59</v>
      </c>
      <c r="E61" s="8" t="s">
        <v>60</v>
      </c>
      <c r="F61" s="8">
        <v>1E-3</v>
      </c>
      <c r="G61" s="8" t="s">
        <v>4</v>
      </c>
      <c r="H61" s="8"/>
      <c r="I61" s="8"/>
    </row>
    <row r="62" spans="1:24">
      <c r="B62" t="s">
        <v>138</v>
      </c>
      <c r="D62" t="s">
        <v>63</v>
      </c>
      <c r="E62" t="s">
        <v>60</v>
      </c>
      <c r="F62">
        <v>1E-3</v>
      </c>
      <c r="G62" t="s">
        <v>4</v>
      </c>
    </row>
    <row r="63" spans="1:24">
      <c r="B63" t="s">
        <v>103</v>
      </c>
      <c r="D63" t="s">
        <v>63</v>
      </c>
      <c r="E63" t="s">
        <v>60</v>
      </c>
      <c r="F63">
        <v>3.9</v>
      </c>
      <c r="G63" t="s">
        <v>104</v>
      </c>
      <c r="J63" s="9" t="s">
        <v>105</v>
      </c>
      <c r="M63" t="s">
        <v>148</v>
      </c>
      <c r="O63" t="s">
        <v>141</v>
      </c>
    </row>
    <row r="64" spans="1:24">
      <c r="B64" t="s">
        <v>103</v>
      </c>
      <c r="D64" t="s">
        <v>63</v>
      </c>
      <c r="E64" t="s">
        <v>60</v>
      </c>
      <c r="F64">
        <v>0.38</v>
      </c>
      <c r="G64" t="s">
        <v>104</v>
      </c>
      <c r="J64" s="9" t="s">
        <v>105</v>
      </c>
      <c r="M64" t="s">
        <v>142</v>
      </c>
      <c r="O64" t="s">
        <v>141</v>
      </c>
    </row>
    <row r="65" spans="1:24">
      <c r="A65" s="5">
        <v>8</v>
      </c>
      <c r="B65" s="5" t="s">
        <v>149</v>
      </c>
      <c r="C65" s="5"/>
      <c r="D65" s="5"/>
      <c r="E65" s="5"/>
      <c r="F65" s="5"/>
      <c r="G65" s="5"/>
      <c r="H65" s="5"/>
      <c r="I65" s="5"/>
      <c r="J65" s="5"/>
      <c r="K65" s="5"/>
      <c r="L65" s="5"/>
      <c r="M65" s="5"/>
      <c r="N65" s="5"/>
      <c r="O65" s="5"/>
      <c r="P65" s="5"/>
      <c r="Q65" s="5"/>
      <c r="R65" s="5"/>
      <c r="S65" s="5"/>
      <c r="T65" s="5"/>
      <c r="U65" s="5"/>
      <c r="V65" s="5"/>
      <c r="W65" s="5"/>
      <c r="X65" s="5"/>
    </row>
    <row r="66" spans="1:24">
      <c r="B66" s="14" t="s">
        <v>150</v>
      </c>
      <c r="C66" s="8"/>
      <c r="D66" s="8" t="s">
        <v>59</v>
      </c>
      <c r="E66" s="8" t="s">
        <v>60</v>
      </c>
      <c r="F66" s="8">
        <v>1E-3</v>
      </c>
      <c r="G66" s="8" t="s">
        <v>4</v>
      </c>
      <c r="H66" s="8"/>
      <c r="I66" s="8"/>
    </row>
    <row r="67" spans="1:24">
      <c r="B67" t="s">
        <v>103</v>
      </c>
      <c r="D67" t="s">
        <v>63</v>
      </c>
      <c r="E67" t="s">
        <v>60</v>
      </c>
      <c r="F67">
        <v>6.5</v>
      </c>
      <c r="G67" t="s">
        <v>104</v>
      </c>
      <c r="J67" s="9" t="s">
        <v>105</v>
      </c>
      <c r="M67" t="s">
        <v>151</v>
      </c>
      <c r="O67" t="s">
        <v>141</v>
      </c>
    </row>
    <row r="68" spans="1:24">
      <c r="B68" t="s">
        <v>103</v>
      </c>
      <c r="D68" t="s">
        <v>63</v>
      </c>
      <c r="E68" t="s">
        <v>60</v>
      </c>
      <c r="F68">
        <v>0.38</v>
      </c>
      <c r="G68" t="s">
        <v>104</v>
      </c>
      <c r="J68" s="9" t="s">
        <v>105</v>
      </c>
      <c r="M68" t="s">
        <v>152</v>
      </c>
      <c r="O68" t="s">
        <v>141</v>
      </c>
    </row>
    <row r="69" spans="1:24" ht="42.75">
      <c r="B69" t="s">
        <v>153</v>
      </c>
      <c r="D69" t="s">
        <v>63</v>
      </c>
      <c r="E69" t="s">
        <v>60</v>
      </c>
      <c r="F69">
        <v>1</v>
      </c>
      <c r="G69" t="s">
        <v>14</v>
      </c>
      <c r="J69" s="9" t="s">
        <v>154</v>
      </c>
      <c r="K69" t="s">
        <v>155</v>
      </c>
      <c r="M69" t="s">
        <v>156</v>
      </c>
      <c r="O69" t="s">
        <v>141</v>
      </c>
    </row>
    <row r="70" spans="1:24">
      <c r="B70" t="s">
        <v>147</v>
      </c>
      <c r="D70" t="s">
        <v>63</v>
      </c>
      <c r="E70" t="s">
        <v>60</v>
      </c>
      <c r="F70">
        <v>1E-3</v>
      </c>
      <c r="G70" t="s">
        <v>4</v>
      </c>
    </row>
    <row r="71" spans="1:24">
      <c r="B71" t="s">
        <v>69</v>
      </c>
      <c r="D71" t="s">
        <v>59</v>
      </c>
      <c r="E71" t="s">
        <v>118</v>
      </c>
      <c r="F71">
        <f>F66*0.35</f>
        <v>3.5E-4</v>
      </c>
      <c r="G71" t="s">
        <v>157</v>
      </c>
      <c r="M71" t="s">
        <v>158</v>
      </c>
      <c r="O71" t="s">
        <v>159</v>
      </c>
    </row>
    <row r="72" spans="1:24" ht="28.5">
      <c r="A72" s="8"/>
      <c r="B72" s="8" t="s">
        <v>160</v>
      </c>
      <c r="C72" s="8"/>
      <c r="D72" s="8" t="s">
        <v>59</v>
      </c>
      <c r="E72" s="8" t="s">
        <v>118</v>
      </c>
      <c r="F72" s="8">
        <v>2.96</v>
      </c>
      <c r="G72" s="8" t="s">
        <v>14</v>
      </c>
      <c r="H72" s="8"/>
      <c r="I72" s="8"/>
      <c r="J72" s="14" t="s">
        <v>161</v>
      </c>
      <c r="K72" s="8"/>
      <c r="L72" s="8"/>
      <c r="M72" s="8" t="s">
        <v>162</v>
      </c>
      <c r="N72" s="8"/>
      <c r="O72" s="8" t="s">
        <v>163</v>
      </c>
      <c r="P72" s="8"/>
      <c r="Q72" s="3" t="s">
        <v>164</v>
      </c>
    </row>
    <row r="73" spans="1:24" ht="28.5">
      <c r="A73" s="8"/>
      <c r="B73" s="8" t="s">
        <v>165</v>
      </c>
      <c r="C73" s="8"/>
      <c r="D73" s="8" t="s">
        <v>59</v>
      </c>
      <c r="E73" s="8" t="s">
        <v>118</v>
      </c>
      <c r="F73" s="8">
        <v>1.33E-3</v>
      </c>
      <c r="G73" s="8" t="s">
        <v>14</v>
      </c>
      <c r="H73" s="8"/>
      <c r="I73" s="8"/>
      <c r="J73" s="14" t="s">
        <v>161</v>
      </c>
      <c r="K73" s="8"/>
      <c r="L73" s="8"/>
      <c r="M73" s="8" t="s">
        <v>162</v>
      </c>
      <c r="N73" s="8"/>
      <c r="O73" s="8" t="s">
        <v>163</v>
      </c>
      <c r="P73" s="8"/>
      <c r="Q73" s="3" t="s">
        <v>164</v>
      </c>
    </row>
    <row r="74" spans="1:24" ht="28.5">
      <c r="A74" s="8"/>
      <c r="B74" s="8" t="s">
        <v>166</v>
      </c>
      <c r="C74" s="8"/>
      <c r="D74" s="8" t="s">
        <v>59</v>
      </c>
      <c r="E74" s="8" t="s">
        <v>118</v>
      </c>
      <c r="F74" s="8">
        <v>1.2600000000000001E-3</v>
      </c>
      <c r="G74" s="8" t="s">
        <v>14</v>
      </c>
      <c r="H74" s="8"/>
      <c r="I74" s="8"/>
      <c r="J74" s="14" t="s">
        <v>161</v>
      </c>
      <c r="K74" s="8"/>
      <c r="L74" s="8"/>
      <c r="M74" s="8" t="s">
        <v>162</v>
      </c>
      <c r="N74" s="8"/>
      <c r="O74" s="8" t="s">
        <v>163</v>
      </c>
      <c r="P74" s="8"/>
      <c r="Q74" s="3" t="s">
        <v>164</v>
      </c>
    </row>
    <row r="75" spans="1:24">
      <c r="A75" s="5">
        <v>9</v>
      </c>
      <c r="B75" s="5" t="s">
        <v>167</v>
      </c>
      <c r="C75" s="12"/>
      <c r="D75" s="12"/>
      <c r="E75" s="12"/>
      <c r="F75" s="12"/>
      <c r="G75" s="12"/>
      <c r="H75" s="12"/>
      <c r="I75" s="12"/>
      <c r="J75" s="12"/>
      <c r="K75" s="12"/>
      <c r="L75" s="12"/>
      <c r="M75" s="12"/>
      <c r="N75" s="12"/>
      <c r="O75" s="12"/>
      <c r="P75" s="12"/>
      <c r="Q75" s="12"/>
      <c r="R75" s="12"/>
      <c r="S75" s="12"/>
      <c r="T75" s="12"/>
      <c r="U75" s="12"/>
      <c r="V75" s="12"/>
      <c r="W75" s="12"/>
      <c r="X75" s="12"/>
    </row>
    <row r="76" spans="1:24">
      <c r="B76" s="8" t="s">
        <v>168</v>
      </c>
      <c r="D76" s="8" t="s">
        <v>59</v>
      </c>
      <c r="E76" s="8" t="s">
        <v>60</v>
      </c>
      <c r="F76" s="8">
        <f>0.001*0.85</f>
        <v>8.4999999999999995E-4</v>
      </c>
      <c r="G76" s="8" t="s">
        <v>4</v>
      </c>
      <c r="H76" s="8"/>
      <c r="I76" s="8"/>
    </row>
    <row r="77" spans="1:24">
      <c r="B77" t="s">
        <v>103</v>
      </c>
      <c r="D77" t="s">
        <v>63</v>
      </c>
      <c r="E77" t="s">
        <v>60</v>
      </c>
      <c r="F77">
        <v>0.88</v>
      </c>
      <c r="G77" t="s">
        <v>104</v>
      </c>
      <c r="J77" s="9" t="s">
        <v>105</v>
      </c>
      <c r="M77" t="s">
        <v>169</v>
      </c>
      <c r="O77" t="s">
        <v>141</v>
      </c>
    </row>
    <row r="78" spans="1:24">
      <c r="B78" t="s">
        <v>103</v>
      </c>
      <c r="D78" t="s">
        <v>63</v>
      </c>
      <c r="E78" t="s">
        <v>60</v>
      </c>
      <c r="F78">
        <v>0.25</v>
      </c>
      <c r="G78" t="s">
        <v>104</v>
      </c>
      <c r="J78" s="9" t="s">
        <v>105</v>
      </c>
      <c r="M78" t="s">
        <v>170</v>
      </c>
      <c r="O78" t="s">
        <v>141</v>
      </c>
    </row>
    <row r="79" spans="1:24">
      <c r="A79" s="5">
        <v>10</v>
      </c>
      <c r="B79" s="5" t="s">
        <v>171</v>
      </c>
      <c r="C79" s="12"/>
      <c r="D79" s="12"/>
      <c r="E79" s="12"/>
      <c r="F79" s="12"/>
      <c r="G79" s="12"/>
      <c r="H79" s="12"/>
      <c r="I79" s="12"/>
      <c r="J79" s="12"/>
      <c r="K79" s="12"/>
      <c r="L79" s="12"/>
      <c r="M79" s="12"/>
      <c r="N79" s="12"/>
      <c r="O79" s="12"/>
      <c r="P79" s="12"/>
      <c r="Q79" s="12"/>
      <c r="R79" s="12"/>
      <c r="S79" s="12"/>
      <c r="T79" s="12"/>
      <c r="U79" s="12"/>
      <c r="V79" s="12"/>
      <c r="W79" s="12"/>
      <c r="X79" s="12"/>
    </row>
    <row r="80" spans="1:24">
      <c r="B80" s="8" t="s">
        <v>172</v>
      </c>
      <c r="C80" s="8"/>
      <c r="D80" s="8" t="s">
        <v>59</v>
      </c>
      <c r="E80" s="8" t="s">
        <v>60</v>
      </c>
      <c r="F80" s="8">
        <f>(0.001*0.85)+(F83)</f>
        <v>3.9349999999999996E-2</v>
      </c>
      <c r="G80" s="8" t="s">
        <v>4</v>
      </c>
      <c r="H80" s="8"/>
      <c r="I80" s="8"/>
      <c r="J80" s="8"/>
      <c r="K80" s="8"/>
      <c r="L80" s="8"/>
      <c r="M80" s="8"/>
      <c r="N80" s="8"/>
      <c r="O80" s="8"/>
    </row>
    <row r="81" spans="1:24">
      <c r="B81" t="s">
        <v>103</v>
      </c>
      <c r="D81" t="s">
        <v>63</v>
      </c>
      <c r="E81" t="s">
        <v>60</v>
      </c>
      <c r="F81">
        <v>2.2000000000000002</v>
      </c>
      <c r="G81" t="s">
        <v>104</v>
      </c>
      <c r="J81" s="9" t="s">
        <v>105</v>
      </c>
      <c r="M81" t="s">
        <v>173</v>
      </c>
      <c r="O81" t="s">
        <v>141</v>
      </c>
    </row>
    <row r="82" spans="1:24">
      <c r="B82" t="s">
        <v>103</v>
      </c>
      <c r="D82" t="s">
        <v>63</v>
      </c>
      <c r="E82" t="s">
        <v>60</v>
      </c>
      <c r="F82">
        <v>0.25</v>
      </c>
      <c r="G82" t="s">
        <v>104</v>
      </c>
      <c r="J82" s="9" t="s">
        <v>105</v>
      </c>
      <c r="M82" t="s">
        <v>170</v>
      </c>
      <c r="O82" t="s">
        <v>141</v>
      </c>
    </row>
    <row r="83" spans="1:24" ht="40.5" customHeight="1">
      <c r="B83" t="s">
        <v>174</v>
      </c>
      <c r="D83" t="s">
        <v>63</v>
      </c>
      <c r="E83" t="s">
        <v>60</v>
      </c>
      <c r="F83">
        <v>3.85E-2</v>
      </c>
      <c r="G83" t="s">
        <v>14</v>
      </c>
      <c r="J83" s="9" t="s">
        <v>175</v>
      </c>
      <c r="K83" t="s">
        <v>176</v>
      </c>
      <c r="M83" t="s">
        <v>177</v>
      </c>
      <c r="N83" t="s">
        <v>178</v>
      </c>
      <c r="O83" t="s">
        <v>179</v>
      </c>
      <c r="Q83" s="3" t="s">
        <v>180</v>
      </c>
    </row>
    <row r="84" spans="1:24">
      <c r="A84" s="5">
        <v>11</v>
      </c>
      <c r="B84" s="5" t="s">
        <v>181</v>
      </c>
      <c r="C84" s="12"/>
      <c r="D84" s="12"/>
      <c r="E84" s="12"/>
      <c r="F84" s="12"/>
      <c r="G84" s="12"/>
      <c r="H84" s="12"/>
      <c r="I84" s="12"/>
      <c r="J84" s="12"/>
      <c r="K84" s="12"/>
      <c r="L84" s="12"/>
      <c r="M84" s="12"/>
      <c r="N84" s="12"/>
      <c r="O84" s="12"/>
      <c r="P84" s="12"/>
      <c r="Q84" s="12"/>
      <c r="R84" s="12"/>
      <c r="S84" s="12"/>
      <c r="T84" s="12"/>
      <c r="U84" s="12"/>
      <c r="V84" s="12"/>
      <c r="W84" s="12"/>
      <c r="X84" s="12"/>
    </row>
    <row r="85" spans="1:24">
      <c r="B85" s="8" t="s">
        <v>182</v>
      </c>
      <c r="C85" s="8"/>
      <c r="D85" s="8" t="s">
        <v>59</v>
      </c>
      <c r="E85" s="8" t="s">
        <v>60</v>
      </c>
      <c r="F85" s="8">
        <f>F80*97.5%</f>
        <v>3.8366249999999998E-2</v>
      </c>
      <c r="G85" s="8" t="s">
        <v>4</v>
      </c>
      <c r="H85" s="8"/>
      <c r="I85" s="8"/>
    </row>
    <row r="86" spans="1:24">
      <c r="B86" t="s">
        <v>172</v>
      </c>
      <c r="D86" t="s">
        <v>63</v>
      </c>
      <c r="E86" t="s">
        <v>60</v>
      </c>
      <c r="F86">
        <v>3.9350000000000003E-2</v>
      </c>
      <c r="G86" t="s">
        <v>4</v>
      </c>
    </row>
    <row r="87" spans="1:24">
      <c r="B87" t="s">
        <v>103</v>
      </c>
      <c r="D87" t="s">
        <v>63</v>
      </c>
      <c r="E87" t="s">
        <v>60</v>
      </c>
      <c r="F87">
        <v>0.85</v>
      </c>
      <c r="G87" t="s">
        <v>24</v>
      </c>
      <c r="J87" s="9" t="s">
        <v>105</v>
      </c>
      <c r="M87" t="s">
        <v>183</v>
      </c>
      <c r="O87" t="s">
        <v>141</v>
      </c>
    </row>
    <row r="88" spans="1:24" ht="34.15" customHeight="1">
      <c r="B88" t="s">
        <v>184</v>
      </c>
      <c r="D88" t="s">
        <v>59</v>
      </c>
      <c r="E88" t="s">
        <v>144</v>
      </c>
      <c r="F88">
        <f>F80*2.5%</f>
        <v>9.8375000000000003E-4</v>
      </c>
      <c r="G88" t="s">
        <v>4</v>
      </c>
      <c r="J88" t="s">
        <v>185</v>
      </c>
      <c r="K88" s="9" t="s">
        <v>186</v>
      </c>
      <c r="M88" t="s">
        <v>187</v>
      </c>
      <c r="N88" t="s">
        <v>83</v>
      </c>
      <c r="O88" t="s">
        <v>141</v>
      </c>
    </row>
  </sheetData>
  <phoneticPr fontId="4" type="noConversion"/>
  <hyperlinks>
    <hyperlink ref="Q30" r:id="rId1" xr:uid="{BEB8B505-89CE-43E0-827B-B3F804442284}"/>
    <hyperlink ref="Q31" r:id="rId2" xr:uid="{B651388B-894A-4364-9E0C-7B6CF644CB00}"/>
    <hyperlink ref="Q32" r:id="rId3" xr:uid="{EB2ECC0E-756D-4568-A6C6-451F4BEF4516}"/>
    <hyperlink ref="Q33" r:id="rId4" xr:uid="{C14C4ED0-3D3D-4C37-B8D3-D29939919AE8}"/>
    <hyperlink ref="Q34" r:id="rId5" xr:uid="{71581C1E-C9F3-4B4C-802A-86F6E59F169B}"/>
    <hyperlink ref="Q42" r:id="rId6" xr:uid="{B5F49D6F-7BB3-4552-8479-C74CBC89E2EF}"/>
    <hyperlink ref="P42" r:id="rId7" xr:uid="{1F5A5FCA-2F6C-4837-8061-392C836B70F9}"/>
    <hyperlink ref="P45" r:id="rId8" xr:uid="{26CAB434-6495-473F-806A-CCA88649AE3D}"/>
    <hyperlink ref="Q45" r:id="rId9" xr:uid="{7A53C681-D2C4-4974-BD08-8F35B0B9935E}"/>
    <hyperlink ref="Q43" r:id="rId10" xr:uid="{509E3D73-E218-459F-BE01-8D73BB3EE05A}"/>
    <hyperlink ref="Q53" r:id="rId11" xr:uid="{E58458CF-21A0-47CA-AD5E-B3C08B258479}"/>
    <hyperlink ref="Q59" r:id="rId12" xr:uid="{AF73E1F7-7752-4223-8922-542C00B49AD6}"/>
    <hyperlink ref="Q72" r:id="rId13" xr:uid="{3F95F838-57FC-4BE2-8F1C-52C7BC7B7858}"/>
    <hyperlink ref="Q73" r:id="rId14" xr:uid="{F2436328-AAB5-405B-8837-6AE6B7EECDCF}"/>
    <hyperlink ref="Q74" r:id="rId15" xr:uid="{3F874A36-2F62-41AF-A78D-826D377E9777}"/>
    <hyperlink ref="K16" r:id="rId16" xr:uid="{2AB37107-828C-4101-B4D5-A6BD76BD420D}"/>
    <hyperlink ref="K17" r:id="rId17" xr:uid="{006E06F5-99E1-49D0-B529-5F18A8C240B3}"/>
    <hyperlink ref="K18" r:id="rId18" xr:uid="{B104FE77-B92E-46ED-989F-1218B1EAF116}"/>
    <hyperlink ref="K19" r:id="rId19" xr:uid="{F4A5E3BE-E73A-4BC2-847E-89612FF83B86}"/>
    <hyperlink ref="K20" r:id="rId20" xr:uid="{AFF65C91-D9EA-4BDE-8713-B0B8FA63F80F}"/>
    <hyperlink ref="K21" r:id="rId21" xr:uid="{C1B51910-C422-4B99-8B2A-FBEA747FE27E}"/>
    <hyperlink ref="K22" r:id="rId22" xr:uid="{EBA5A45F-1F6C-4706-A1DF-FFF469F92B77}"/>
    <hyperlink ref="Q83" r:id="rId23" xr:uid="{A34A32A3-6985-49E9-A7DC-207351CC8D8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Buna Rachman</dc:creator>
  <cp:keywords/>
  <dc:description/>
  <cp:lastModifiedBy>Manja Ratomaharo</cp:lastModifiedBy>
  <cp:revision/>
  <dcterms:created xsi:type="dcterms:W3CDTF">2025-10-08T10:06:04Z</dcterms:created>
  <dcterms:modified xsi:type="dcterms:W3CDTF">2025-11-05T05:38:28Z</dcterms:modified>
  <cp:category/>
  <cp:contentStatus/>
</cp:coreProperties>
</file>